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Read me" sheetId="1" state="visible" r:id="rId3"/>
    <sheet name="Inputs" sheetId="2" state="visible" r:id="rId4"/>
    <sheet name="Pro-forma" sheetId="3" state="visible" r:id="rId5"/>
    <sheet name="Outputs" sheetId="4" state="visible" r:id="rId6"/>
  </sheets>
  <definedNames>
    <definedName function="false" hidden="false" localSheetId="1" name="_xlnm.Print_Area" vbProcedure="false">Inputs!$A$1:$C$28</definedName>
    <definedName function="false" hidden="false" localSheetId="1" name="_xlnm.Print_Titles" vbProcedure="false">Inputs!$A:$A,Inputs!$1:$4</definedName>
    <definedName function="false" hidden="false" localSheetId="3" name="_xlnm.Print_Area" vbProcedure="false">Outputs!$A$1:$D$18</definedName>
    <definedName function="false" hidden="false" localSheetId="3" name="_xlnm.Print_Titles" vbProcedure="false">Outputs!$A:$A,Outputs!$1:$4</definedName>
    <definedName function="false" hidden="false" localSheetId="2" name="_xlnm.Print_Area" vbProcedure="false">'Pro-forma'!$B$1:$L$22</definedName>
    <definedName function="false" hidden="false" localSheetId="2" name="_xlnm.Print_Titles" vbProcedure="false">'Pro-forma'!$B:$B,'Pro-forma'!$1:$5</definedName>
    <definedName function="false" hidden="false" localSheetId="0" name="_xlnm.Print_Area" vbProcedure="false">'Read me'!$A$1:$B$21</definedName>
    <definedName function="false" hidden="false" localSheetId="1" name="_xlnm.Print_Titles" vbProcedure="false">Inputs!$1:$4,Inputs!$A:$A</definedName>
    <definedName function="false" hidden="false" localSheetId="2" name="_xlnm.Print_Titles" vbProcedure="false">'Pro-forma'!$1:$5,'Pro-forma'!$B:$B</definedName>
    <definedName function="false" hidden="false" localSheetId="3" name="_xlnm.Print_Titles" vbProcedure="false">Outputs!$1:$4,Outputs!$A:$A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<sst xmlns="http://schemas.openxmlformats.org/spreadsheetml/2006/main" count="131" uniqueCount="124">
  <si>
    <t xml:space="preserve">Campus financial model — CFADS screening pro-forma</t>
  </si>
  <si>
    <t xml:space="preserve">The Definitive Guide to AI Data Centers — aidatacenterguide.com · v1.0 · defaults as of 2026-07</t>
  </si>
  <si>
    <t xml:space="preserve">Intended user</t>
  </si>
  <si>
    <t xml:space="preserve">Developer / sponsor finance team and their lender advisors, at the screening stage (pre-mandate). Not a closing model: no working-capital, NOL carryforward, sculpted amortization, or construction-facility fees.</t>
  </si>
  <si>
    <t xml:space="preserve">What it computes</t>
  </si>
  <si>
    <t xml:space="preserve">A CFADS-based project financing: construction draws with capitalized IDC, revenue ramp to a stabilized run-rate, cash taxes net of straight-line depreciation and interest shields, sustaining capex, DSRA at close, true DSCR (CFADS ÷ debt service), project (unlevered) and equity (levered) IRR, NPV, and MOIC.</t>
  </si>
  <si>
    <t xml:space="preserve">Engine parity</t>
  </si>
  <si>
    <t xml:space="preserve">The formulas mirror the guide's unit-tested engine (aidatacenterguide.com/calculators/irr). The Outputs sheet carries an 'engine check' column computed by that engine for the reference case — if your edits or a formula drift, the live cells will visibly disagree with the check column at default inputs.</t>
  </si>
  <si>
    <t xml:space="preserve">Required inputs / units</t>
  </si>
  <si>
    <t xml:space="preserve">All money in $M; rates in % p.a.; periods in years. Enter values only in the shaded blue cells on the Inputs sheet. Reference design: a ~100 MW-class AI campus, $1.0B total program.</t>
  </si>
  <si>
    <t xml:space="preserve">Structural limits</t>
  </si>
  <si>
    <t xml:space="preserve">The pro-forma is laid out for 2 construction years + 7 operating years (the reference case). A longer hold or build needs columns added to the Pro-forma sheet — the input cells alone will NOT extend the timeline.</t>
  </si>
  <si>
    <t xml:space="preserve">Jurisdiction</t>
  </si>
  <si>
    <t xml:space="preserve">Tax frame is a simple corporate cash-tax with straight-line depreciation (US-style screening convention). Local depreciation schedules, incentives, and property/sales tax are project-specific — adapt before use.</t>
  </si>
  <si>
    <t xml:space="preserve">Canonical chapter</t>
  </si>
  <si>
    <t xml:space="preserve">Ch 2.5 — Project Finance &amp; Capital Formation (aidatacenterguide.com/part-2-project-delivery-schedule-procurement-contracts-and-risk/2-5-project-finance-and-capital-formation-mechanics)</t>
  </si>
  <si>
    <t xml:space="preserve">Document control</t>
  </si>
  <si>
    <t xml:space="preserve">Project</t>
  </si>
  <si>
    <t xml:space="preserve">Document no.</t>
  </si>
  <si>
    <t xml:space="preserve">Revision</t>
  </si>
  <si>
    <t xml:space="preserve">Date</t>
  </si>
  <si>
    <t xml:space="preserve">Prepared by</t>
  </si>
  <si>
    <t xml:space="preserve">Reviewed by (discipline)</t>
  </si>
  <si>
    <t xml:space="preserve">Approved by (owner)</t>
  </si>
  <si>
    <t xml:space="preserve">This template is a starting frame, not engineering. Project-specific values require review and approval by the responsible engineer of record / authority named above.</t>
  </si>
  <si>
    <t xml:space="preserve">Inputs</t>
  </si>
  <si>
    <t xml:space="preserve">Edit the blue cells only. $M / % p.a. / years.</t>
  </si>
  <si>
    <t xml:space="preserve">Input</t>
  </si>
  <si>
    <t xml:space="preserve">Value</t>
  </si>
  <si>
    <t xml:space="preserve">Unit / note</t>
  </si>
  <si>
    <t xml:space="preserve">Total capex (excl. IDC)</t>
  </si>
  <si>
    <t xml:space="preserve">$M</t>
  </si>
  <si>
    <t xml:space="preserve">Construction period</t>
  </si>
  <si>
    <t xml:space="preserve">yr — STRUCTURAL: the sheet is laid out for 2 build columns</t>
  </si>
  <si>
    <t xml:space="preserve">Debt / leverage</t>
  </si>
  <si>
    <t xml:space="preserve">% of capex</t>
  </si>
  <si>
    <t xml:space="preserve">Interest rate</t>
  </si>
  <si>
    <t xml:space="preserve">% p.a.</t>
  </si>
  <si>
    <t xml:space="preserve">Debt term (amortizing from COD)</t>
  </si>
  <si>
    <t xml:space="preserve">yr</t>
  </si>
  <si>
    <t xml:space="preserve">DSRA</t>
  </si>
  <si>
    <t xml:space="preserve">months of debt service, funded at close</t>
  </si>
  <si>
    <t xml:space="preserve">Stabilized revenue</t>
  </si>
  <si>
    <t xml:space="preserve">$M/yr</t>
  </si>
  <si>
    <t xml:space="preserve">Ramp to stabilized</t>
  </si>
  <si>
    <t xml:space="preserve">yr, linear from COD (0 = stabilized from year 1)</t>
  </si>
  <si>
    <t xml:space="preserve">Revenue growth</t>
  </si>
  <si>
    <t xml:space="preserve">%/yr (negative = price decline; ≥ −100)</t>
  </si>
  <si>
    <t xml:space="preserve">Opex</t>
  </si>
  <si>
    <t xml:space="preserve">% of revenue</t>
  </si>
  <si>
    <t xml:space="preserve">Cash tax rate</t>
  </si>
  <si>
    <t xml:space="preserve">%</t>
  </si>
  <si>
    <t xml:space="preserve">Tax depreciation life</t>
  </si>
  <si>
    <t xml:space="preserve">yr straight-line</t>
  </si>
  <si>
    <t xml:space="preserve">Sustaining capex</t>
  </si>
  <si>
    <t xml:space="preserve">Hold period</t>
  </si>
  <si>
    <t xml:space="preserve">yr — STRUCTURAL: the sheet is laid out for 7 operating columns</t>
  </si>
  <si>
    <t xml:space="preserve">Exit multiple</t>
  </si>
  <si>
    <t xml:space="preserve">× final-year EBITDA</t>
  </si>
  <si>
    <t xml:space="preserve">Discount rate (project NPV)</t>
  </si>
  <si>
    <t xml:space="preserve">Derived (do not edit)</t>
  </si>
  <si>
    <t xml:space="preserve">Debt drawn (pre-IDC)</t>
  </si>
  <si>
    <t xml:space="preserve">IDC (interest during construction)</t>
  </si>
  <si>
    <t xml:space="preserve">$M — avg drawn balance ≈ debt/2 per build year</t>
  </si>
  <si>
    <t xml:space="preserve">Debt at COD (IDC rolled in)</t>
  </si>
  <si>
    <t xml:space="preserve">Equity capex</t>
  </si>
  <si>
    <t xml:space="preserve">$M — non-debt share of capex+IDC</t>
  </si>
  <si>
    <t xml:space="preserve">Debt service (level annuity)</t>
  </si>
  <si>
    <t xml:space="preserve">DSRA funded at close</t>
  </si>
  <si>
    <t xml:space="preserve">Pro-forma ($M)</t>
  </si>
  <si>
    <t xml:space="preserve">P0 = financial close · P1–P2 construction · P3–P9 operating years 1–7. All cells are formulas.</t>
  </si>
  <si>
    <t xml:space="preserve">Period</t>
  </si>
  <si>
    <t xml:space="preserve">Close</t>
  </si>
  <si>
    <t xml:space="preserve">Build 1</t>
  </si>
  <si>
    <t xml:space="preserve">Build 2</t>
  </si>
  <si>
    <t xml:space="preserve">Op 1</t>
  </si>
  <si>
    <t xml:space="preserve">Op 2</t>
  </si>
  <si>
    <t xml:space="preserve">Op 3</t>
  </si>
  <si>
    <t xml:space="preserve">Op 4</t>
  </si>
  <si>
    <t xml:space="preserve">Op 5</t>
  </si>
  <si>
    <t xml:space="preserve">Op 6</t>
  </si>
  <si>
    <t xml:space="preserve">Op 7</t>
  </si>
  <si>
    <t xml:space="preserve">Ops year t</t>
  </si>
  <si>
    <t xml:space="preserve">Revenue</t>
  </si>
  <si>
    <t xml:space="preserve">EBITDA</t>
  </si>
  <si>
    <t xml:space="preserve">Tax depreciation</t>
  </si>
  <si>
    <t xml:space="preserve">Debt opening balance</t>
  </si>
  <si>
    <t xml:space="preserve">Interest</t>
  </si>
  <si>
    <t xml:space="preserve">Debt service</t>
  </si>
  <si>
    <t xml:space="preserve">Principal</t>
  </si>
  <si>
    <t xml:space="preserve">Debt closing balance</t>
  </si>
  <si>
    <t xml:space="preserve">Taxable income</t>
  </si>
  <si>
    <t xml:space="preserve">Cash tax</t>
  </si>
  <si>
    <t xml:space="preserve">CFADS</t>
  </si>
  <si>
    <t xml:space="preserve">DSCR (CFADS ÷ DS)</t>
  </si>
  <si>
    <t xml:space="preserve">Exit value</t>
  </si>
  <si>
    <t xml:space="preserve">Equity cash flow</t>
  </si>
  <si>
    <t xml:space="preserve">Project cash flow (unlevered)</t>
  </si>
  <si>
    <t xml:space="preserve">Outputs</t>
  </si>
  <si>
    <t xml:space="preserve">Live column recomputes from your inputs; the engine-check column is the guide's tested engine at the REFERENCE inputs.</t>
  </si>
  <si>
    <t xml:space="preserve">Metric</t>
  </si>
  <si>
    <t xml:space="preserve">Live (this workbook)</t>
  </si>
  <si>
    <t xml:space="preserve">Engine check (reference inputs)</t>
  </si>
  <si>
    <t xml:space="preserve">Note</t>
  </si>
  <si>
    <t xml:space="preserve">Equity IRR</t>
  </si>
  <si>
    <t xml:space="preserve">levered; requires at least one negative and one positive equity cash flow</t>
  </si>
  <si>
    <t xml:space="preserve">Project IRR (unlevered)</t>
  </si>
  <si>
    <t xml:space="preserve">Min DSCR</t>
  </si>
  <si>
    <t xml:space="preserve">screen ≥ ~1.3–1.4× with margin; ramp year often binds</t>
  </si>
  <si>
    <t xml:space="preserve">Avg DSCR</t>
  </si>
  <si>
    <t xml:space="preserve">Project NPV ($M)</t>
  </si>
  <si>
    <t xml:space="preserve">at the discount-rate input</t>
  </si>
  <si>
    <t xml:space="preserve">Equity NPV ($M)</t>
  </si>
  <si>
    <t xml:space="preserve">the decision metric when the equity IRR is ambiguous</t>
  </si>
  <si>
    <t xml:space="preserve">IRR applicability / ambiguity</t>
  </si>
  <si>
    <t xml:space="preserve">ok</t>
  </si>
  <si>
    <t xml:space="preserve">no negative/positive equity cash flow ⇒ n/a; more than one sign change ⇒ no unique IRR</t>
  </si>
  <si>
    <t xml:space="preserve">Equity MOIC</t>
  </si>
  <si>
    <t xml:space="preserve">requires at least one negative and one positive equity cash flow</t>
  </si>
  <si>
    <t xml:space="preserve">IDC ($M)</t>
  </si>
  <si>
    <t xml:space="preserve">Debt at COD ($M)</t>
  </si>
  <si>
    <t xml:space="preserve">Debt service ($M/yr)</t>
  </si>
  <si>
    <t xml:space="preserve">DSRA ($M)</t>
  </si>
  <si>
    <t xml:space="preserve">At the unchanged reference inputs, live/check divergence indicates formula drift. After you edit Inputs, divergence is expected because the engine-check column remains fixed to the reference case.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</si>
</sst>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yyyy\-mm\-dd"/>
    <numFmt numFmtId="167" formatCode="\$#,##0.00;[RED]&quot;($&quot;#,##0.00\);\-"/>
    <numFmt numFmtId="168" formatCode="#,##0;[RED]\(#,##0\);\-"/>
    <numFmt numFmtId="169" formatCode="0.0\%;[RED]\(0.0&quot;%)&quot;;\-"/>
    <numFmt numFmtId="170" formatCode="0.00\x;[RED]\(0.00&quot;x)&quot;;\-"/>
    <numFmt numFmtId="171" formatCode="0.0%;[RED]\(0.0%\);\-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name val="Georgia"/>
      <family val="0"/>
      <charset val="1"/>
    </font>
    <font>
      <sz val="9"/>
      <color rgb="FF666666"/>
      <name val="Cambria"/>
      <family val="0"/>
      <charset val="1"/>
    </font>
    <font>
      <b val="true"/>
      <sz val="11"/>
      <name val="Cambria"/>
      <family val="0"/>
      <charset val="1"/>
    </font>
    <font>
      <b val="true"/>
      <sz val="12"/>
      <name val="Georgia"/>
      <family val="0"/>
      <charset val="1"/>
    </font>
    <font>
      <b val="true"/>
      <sz val="10"/>
      <color rgb="FFFFFFFF"/>
      <name val="Cambria"/>
      <family val="0"/>
      <charset val="1"/>
    </font>
    <font>
      <sz val="11"/>
      <name val="Cambria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EAF2FA"/>
        <bgColor rgb="FFE8E8E8"/>
      </patternFill>
    </fill>
    <fill>
      <patternFill patternType="solid">
        <fgColor rgb="FF1F1F1F"/>
        <bgColor rgb="FF333300"/>
      </patternFill>
    </fill>
    <fill>
      <patternFill patternType="solid">
        <fgColor rgb="FFE8E8E8"/>
        <bgColor rgb="FFEAF2FA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71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71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E8E8E8"/>
      <rgbColor rgb="FFEAF2FA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1F1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110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23.85" hidden="false" customHeight="false" outlineLevel="0" collapsed="false">
      <c r="A4" s="3" t="s">
        <v>2</v>
      </c>
      <c r="B4" s="4" t="s">
        <v>3</v>
      </c>
    </row>
    <row r="5" customFormat="false" ht="35.05" hidden="false" customHeight="false" outlineLevel="0" collapsed="false">
      <c r="A5" s="3" t="s">
        <v>4</v>
      </c>
      <c r="B5" s="4" t="s">
        <v>5</v>
      </c>
    </row>
    <row r="6" customFormat="false" ht="35.05" hidden="false" customHeight="false" outlineLevel="0" collapsed="false">
      <c r="A6" s="3" t="s">
        <v>6</v>
      </c>
      <c r="B6" s="4" t="s">
        <v>7</v>
      </c>
    </row>
    <row r="7" customFormat="false" ht="23.85" hidden="false" customHeight="false" outlineLevel="0" collapsed="false">
      <c r="A7" s="3" t="s">
        <v>8</v>
      </c>
      <c r="B7" s="4" t="s">
        <v>9</v>
      </c>
    </row>
    <row r="8" customFormat="false" ht="23.85" hidden="false" customHeight="false" outlineLevel="0" collapsed="false">
      <c r="A8" s="3" t="s">
        <v>10</v>
      </c>
      <c r="B8" s="4" t="s">
        <v>11</v>
      </c>
    </row>
    <row r="9" customFormat="false" ht="23.85" hidden="false" customHeight="false" outlineLevel="0" collapsed="false">
      <c r="A9" s="3" t="s">
        <v>12</v>
      </c>
      <c r="B9" s="4" t="s">
        <v>13</v>
      </c>
    </row>
    <row r="10" customFormat="false" ht="23.85" hidden="false" customHeight="false" outlineLevel="0" collapsed="false">
      <c r="A10" s="3" t="s">
        <v>14</v>
      </c>
      <c r="B10" s="4" t="s">
        <v>15</v>
      </c>
    </row>
    <row r="12" customFormat="false" ht="15" hidden="false" customHeight="false" outlineLevel="0" collapsed="false">
      <c r="A12" s="5" t="s">
        <v>16</v>
      </c>
    </row>
    <row r="13" customFormat="false" ht="15" hidden="false" customHeight="false" outlineLevel="0" collapsed="false">
      <c r="A13" s="3" t="s">
        <v>17</v>
      </c>
      <c r="B13" s="6"/>
    </row>
    <row r="14" customFormat="false" ht="15" hidden="false" customHeight="false" outlineLevel="0" collapsed="false">
      <c r="A14" s="3" t="s">
        <v>18</v>
      </c>
      <c r="B14" s="6"/>
    </row>
    <row r="15" customFormat="false" ht="15" hidden="false" customHeight="false" outlineLevel="0" collapsed="false">
      <c r="A15" s="3" t="s">
        <v>19</v>
      </c>
      <c r="B15" s="6"/>
    </row>
    <row r="16" customFormat="false" ht="15" hidden="false" customHeight="false" outlineLevel="0" collapsed="false">
      <c r="A16" s="3" t="s">
        <v>20</v>
      </c>
      <c r="B16" s="7"/>
    </row>
    <row r="17" customFormat="false" ht="15" hidden="false" customHeight="false" outlineLevel="0" collapsed="false">
      <c r="A17" s="3" t="s">
        <v>21</v>
      </c>
      <c r="B17" s="6"/>
    </row>
    <row r="18" customFormat="false" ht="15" hidden="false" customHeight="false" outlineLevel="0" collapsed="false">
      <c r="A18" s="3" t="s">
        <v>22</v>
      </c>
      <c r="B18" s="6"/>
    </row>
    <row r="19" customFormat="false" ht="15" hidden="false" customHeight="false" outlineLevel="0" collapsed="false">
      <c r="A19" s="3" t="s">
        <v>23</v>
      </c>
      <c r="B19" s="6"/>
    </row>
    <row r="21" customFormat="false" ht="15" hidden="false" customHeight="false" outlineLevel="0" collapsed="false">
      <c r="A21" s="2" t="s">
        <v>24</v>
      </c>
    </row>
  </sheetData>
  <printOptions headings="false" gridLines="false" gridLinesSet="true" horizontalCentered="true" verticalCentered="false"/>
  <pageMargins left="0.25" right="0.25" top="0.45" bottom="0.45" header="0.179861111111111" footer="0.179861111111111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&amp;L&amp;8 Read me&amp;C&amp;8 v1.0 · as of 2026-07&amp;R&amp;8 Page &amp;P of &amp;N</oddHeader>
    <oddFooter>&amp;L&amp;8 Project / owner: ____________________&amp;C&amp;8 Campus financial model&amp;R&amp;8 aidatacenterguide.com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4"/>
    <col collapsed="false" customWidth="true" hidden="false" outlineLevel="0" max="3" min="3" style="0" width="52"/>
  </cols>
  <sheetData>
    <row r="1" customFormat="false" ht="19.7" hidden="false" customHeight="false" outlineLevel="0" collapsed="false">
      <c r="A1" s="1" t="s">
        <v>25</v>
      </c>
    </row>
    <row r="2" customFormat="false" ht="15" hidden="false" customHeight="false" outlineLevel="0" collapsed="false">
      <c r="A2" s="2" t="s">
        <v>26</v>
      </c>
    </row>
    <row r="4" customFormat="false" ht="15" hidden="false" customHeight="false" outlineLevel="0" collapsed="false">
      <c r="A4" s="8" t="s">
        <v>27</v>
      </c>
      <c r="B4" s="8" t="s">
        <v>28</v>
      </c>
      <c r="C4" s="8" t="s">
        <v>29</v>
      </c>
    </row>
    <row r="5" customFormat="false" ht="15" hidden="false" customHeight="false" outlineLevel="0" collapsed="false">
      <c r="A5" s="9" t="s">
        <v>30</v>
      </c>
      <c r="B5" s="10" t="n">
        <v>1000</v>
      </c>
      <c r="C5" s="9" t="s">
        <v>31</v>
      </c>
    </row>
    <row r="6" customFormat="false" ht="15" hidden="false" customHeight="false" outlineLevel="0" collapsed="false">
      <c r="A6" s="9" t="s">
        <v>32</v>
      </c>
      <c r="B6" s="11" t="n">
        <v>2</v>
      </c>
      <c r="C6" s="9" t="s">
        <v>33</v>
      </c>
    </row>
    <row r="7" customFormat="false" ht="15" hidden="false" customHeight="false" outlineLevel="0" collapsed="false">
      <c r="A7" s="9" t="s">
        <v>34</v>
      </c>
      <c r="B7" s="12" t="n">
        <v>60</v>
      </c>
      <c r="C7" s="9" t="s">
        <v>35</v>
      </c>
    </row>
    <row r="8" customFormat="false" ht="15" hidden="false" customHeight="false" outlineLevel="0" collapsed="false">
      <c r="A8" s="9" t="s">
        <v>36</v>
      </c>
      <c r="B8" s="12" t="n">
        <v>7</v>
      </c>
      <c r="C8" s="9" t="s">
        <v>37</v>
      </c>
    </row>
    <row r="9" customFormat="false" ht="15" hidden="false" customHeight="false" outlineLevel="0" collapsed="false">
      <c r="A9" s="9" t="s">
        <v>38</v>
      </c>
      <c r="B9" s="13" t="n">
        <v>10</v>
      </c>
      <c r="C9" s="9" t="s">
        <v>39</v>
      </c>
    </row>
    <row r="10" customFormat="false" ht="15" hidden="false" customHeight="false" outlineLevel="0" collapsed="false">
      <c r="A10" s="9" t="s">
        <v>40</v>
      </c>
      <c r="B10" s="13" t="n">
        <v>6</v>
      </c>
      <c r="C10" s="9" t="s">
        <v>41</v>
      </c>
    </row>
    <row r="11" customFormat="false" ht="15" hidden="false" customHeight="false" outlineLevel="0" collapsed="false">
      <c r="A11" s="9" t="s">
        <v>42</v>
      </c>
      <c r="B11" s="10" t="n">
        <v>200</v>
      </c>
      <c r="C11" s="9" t="s">
        <v>43</v>
      </c>
    </row>
    <row r="12" customFormat="false" ht="15" hidden="false" customHeight="false" outlineLevel="0" collapsed="false">
      <c r="A12" s="9" t="s">
        <v>44</v>
      </c>
      <c r="B12" s="13" t="n">
        <v>2</v>
      </c>
      <c r="C12" s="9" t="s">
        <v>45</v>
      </c>
    </row>
    <row r="13" customFormat="false" ht="15" hidden="false" customHeight="false" outlineLevel="0" collapsed="false">
      <c r="A13" s="9" t="s">
        <v>46</v>
      </c>
      <c r="B13" s="12" t="n">
        <v>2</v>
      </c>
      <c r="C13" s="9" t="s">
        <v>47</v>
      </c>
    </row>
    <row r="14" customFormat="false" ht="15" hidden="false" customHeight="false" outlineLevel="0" collapsed="false">
      <c r="A14" s="9" t="s">
        <v>48</v>
      </c>
      <c r="B14" s="12" t="n">
        <v>25</v>
      </c>
      <c r="C14" s="9" t="s">
        <v>49</v>
      </c>
    </row>
    <row r="15" customFormat="false" ht="15" hidden="false" customHeight="false" outlineLevel="0" collapsed="false">
      <c r="A15" s="9" t="s">
        <v>50</v>
      </c>
      <c r="B15" s="12" t="n">
        <v>21</v>
      </c>
      <c r="C15" s="9" t="s">
        <v>51</v>
      </c>
    </row>
    <row r="16" customFormat="false" ht="15" hidden="false" customHeight="false" outlineLevel="0" collapsed="false">
      <c r="A16" s="9" t="s">
        <v>52</v>
      </c>
      <c r="B16" s="13" t="n">
        <v>10</v>
      </c>
      <c r="C16" s="9" t="s">
        <v>53</v>
      </c>
    </row>
    <row r="17" customFormat="false" ht="15" hidden="false" customHeight="false" outlineLevel="0" collapsed="false">
      <c r="A17" s="9" t="s">
        <v>54</v>
      </c>
      <c r="B17" s="12" t="n">
        <v>3</v>
      </c>
      <c r="C17" s="9" t="s">
        <v>49</v>
      </c>
    </row>
    <row r="18" customFormat="false" ht="15" hidden="false" customHeight="false" outlineLevel="0" collapsed="false">
      <c r="A18" s="9" t="s">
        <v>55</v>
      </c>
      <c r="B18" s="11" t="n">
        <v>7</v>
      </c>
      <c r="C18" s="9" t="s">
        <v>56</v>
      </c>
    </row>
    <row r="19" customFormat="false" ht="15" hidden="false" customHeight="false" outlineLevel="0" collapsed="false">
      <c r="A19" s="9" t="s">
        <v>57</v>
      </c>
      <c r="B19" s="13" t="n">
        <v>12</v>
      </c>
      <c r="C19" s="9" t="s">
        <v>58</v>
      </c>
    </row>
    <row r="20" customFormat="false" ht="15" hidden="false" customHeight="false" outlineLevel="0" collapsed="false">
      <c r="A20" s="9" t="s">
        <v>59</v>
      </c>
      <c r="B20" s="12" t="n">
        <v>10</v>
      </c>
      <c r="C20" s="9" t="s">
        <v>51</v>
      </c>
    </row>
    <row r="22" customFormat="false" ht="15" hidden="false" customHeight="false" outlineLevel="0" collapsed="false">
      <c r="A22" s="5" t="s">
        <v>60</v>
      </c>
      <c r="B22" s="9"/>
      <c r="C22" s="9"/>
    </row>
    <row r="23" customFormat="false" ht="15" hidden="false" customHeight="false" outlineLevel="0" collapsed="false">
      <c r="A23" s="9" t="s">
        <v>61</v>
      </c>
      <c r="B23" s="14" t="n">
        <f aca="false">B5*B7/100</f>
        <v>600</v>
      </c>
      <c r="C23" s="9" t="s">
        <v>31</v>
      </c>
    </row>
    <row r="24" customFormat="false" ht="15" hidden="false" customHeight="false" outlineLevel="0" collapsed="false">
      <c r="A24" s="9" t="s">
        <v>62</v>
      </c>
      <c r="B24" s="14" t="n">
        <f aca="false">B23*B8/100*B6/2</f>
        <v>42</v>
      </c>
      <c r="C24" s="9" t="s">
        <v>63</v>
      </c>
    </row>
    <row r="25" customFormat="false" ht="15" hidden="false" customHeight="false" outlineLevel="0" collapsed="false">
      <c r="A25" s="9" t="s">
        <v>64</v>
      </c>
      <c r="B25" s="14" t="n">
        <f aca="false">B23+B24</f>
        <v>642</v>
      </c>
      <c r="C25" s="9" t="s">
        <v>31</v>
      </c>
    </row>
    <row r="26" customFormat="false" ht="15" hidden="false" customHeight="false" outlineLevel="0" collapsed="false">
      <c r="A26" s="9" t="s">
        <v>65</v>
      </c>
      <c r="B26" s="14" t="n">
        <f aca="false">B5+B24-B25</f>
        <v>400</v>
      </c>
      <c r="C26" s="9" t="s">
        <v>66</v>
      </c>
    </row>
    <row r="27" customFormat="false" ht="15" hidden="false" customHeight="false" outlineLevel="0" collapsed="false">
      <c r="A27" s="9" t="s">
        <v>67</v>
      </c>
      <c r="B27" s="14" t="n">
        <f aca="false">-PMT(B8/100,B9,B25)</f>
        <v>91.4063567509681</v>
      </c>
      <c r="C27" s="9" t="s">
        <v>43</v>
      </c>
    </row>
    <row r="28" customFormat="false" ht="15" hidden="false" customHeight="false" outlineLevel="0" collapsed="false">
      <c r="A28" s="9" t="s">
        <v>68</v>
      </c>
      <c r="B28" s="14" t="n">
        <f aca="false">B10/12*B27</f>
        <v>45.7031783754841</v>
      </c>
      <c r="C28" s="9" t="s">
        <v>31</v>
      </c>
    </row>
  </sheetData>
  <dataValidations count="16">
    <dataValidation allowBlank="false" error="Outside the range the model is valid for — see the Read me sheet." errorStyle="stop" operator="greaterThan" showDropDown="false" showErrorMessage="true" showInputMessage="false" sqref="B5" type="decimal">
      <formula1>0</formula1>
      <formula2>0</formula2>
    </dataValidation>
    <dataValidation allowBlank="false" error="Outside the range the model is valid for — see the Read me sheet." errorStyle="stop" operator="between" showDropDown="false" showErrorMessage="true" showInputMessage="false" sqref="B6" type="whole">
      <formula1>2</formula1>
      <formula2>2</formula2>
    </dataValidation>
    <dataValidation allowBlank="false" error="Outside the range the model is valid for — see the Read me sheet." errorStyle="stop" operator="between" showDropDown="false" showErrorMessage="true" showInputMessage="false" sqref="B7" type="decimal">
      <formula1>0</formula1>
      <formula2>100</formula2>
    </dataValidation>
    <dataValidation allowBlank="false" error="Outside the range the model is valid for — see the Read me sheet." errorStyle="stop" operator="greaterThanOrEqual" showDropDown="false" showErrorMessage="true" showInputMessage="false" sqref="B8" type="decimal">
      <formula1>0</formula1>
      <formula2>0</formula2>
    </dataValidation>
    <dataValidation allowBlank="false" error="Outside the range the model is valid for — see the Read me sheet." errorStyle="stop" operator="greaterThanOrEqual" showDropDown="false" showErrorMessage="true" showInputMessage="false" sqref="B9" type="whole">
      <formula1>1</formula1>
      <formula2>0</formula2>
    </dataValidation>
    <dataValidation allowBlank="false" error="Outside the range the model is valid for — see the Read me sheet." errorStyle="stop" operator="greaterThanOrEqual" showDropDown="false" showErrorMessage="true" showInputMessage="false" sqref="B10" type="decimal">
      <formula1>0</formula1>
      <formula2>0</formula2>
    </dataValidation>
    <dataValidation allowBlank="false" error="Outside the range the model is valid for — see the Read me sheet." errorStyle="stop" operator="greaterThanOrEqual" showDropDown="false" showErrorMessage="true" showInputMessage="false" sqref="B11" type="decimal">
      <formula1>0</formula1>
      <formula2>0</formula2>
    </dataValidation>
    <dataValidation allowBlank="false" error="Outside the range the model is valid for — see the Read me sheet." errorStyle="stop" operator="between" showDropDown="false" showErrorMessage="true" showInputMessage="false" sqref="B12" type="whole">
      <formula1>0</formula1>
      <formula2>7</formula2>
    </dataValidation>
    <dataValidation allowBlank="false" error="Outside the range the model is valid for — see the Read me sheet." errorStyle="stop" operator="greaterThanOrEqual" showDropDown="false" showErrorMessage="true" showInputMessage="false" sqref="B13" type="decimal">
      <formula1>-100</formula1>
      <formula2>0</formula2>
    </dataValidation>
    <dataValidation allowBlank="false" error="Outside the range the model is valid for — see the Read me sheet." errorStyle="stop" operator="between" showDropDown="false" showErrorMessage="true" showInputMessage="false" sqref="B14" type="decimal">
      <formula1>0</formula1>
      <formula2>100</formula2>
    </dataValidation>
    <dataValidation allowBlank="false" error="Outside the range the model is valid for — see the Read me sheet." errorStyle="stop" operator="between" showDropDown="false" showErrorMessage="true" showInputMessage="false" sqref="B15" type="decimal">
      <formula1>0</formula1>
      <formula2>100</formula2>
    </dataValidation>
    <dataValidation allowBlank="false" error="Outside the range the model is valid for — see the Read me sheet." errorStyle="stop" operator="greaterThanOrEqual" showDropDown="false" showErrorMessage="true" showInputMessage="false" sqref="B16" type="whole">
      <formula1>1</formula1>
      <formula2>0</formula2>
    </dataValidation>
    <dataValidation allowBlank="false" error="Outside the range the model is valid for — see the Read me sheet." errorStyle="stop" operator="between" showDropDown="false" showErrorMessage="true" showInputMessage="false" sqref="B17" type="decimal">
      <formula1>0</formula1>
      <formula2>100</formula2>
    </dataValidation>
    <dataValidation allowBlank="false" error="Outside the range the model is valid for — see the Read me sheet." errorStyle="stop" operator="between" showDropDown="false" showErrorMessage="true" showInputMessage="false" sqref="B18" type="whole">
      <formula1>7</formula1>
      <formula2>7</formula2>
    </dataValidation>
    <dataValidation allowBlank="false" error="Outside the range the model is valid for — see the Read me sheet." errorStyle="stop" operator="greaterThanOrEqual" showDropDown="false" showErrorMessage="true" showInputMessage="false" sqref="B19" type="decimal">
      <formula1>0</formula1>
      <formula2>0</formula2>
    </dataValidation>
    <dataValidation allowBlank="false" error="Outside the range the model is valid for — see the Read me sheet." errorStyle="stop" operator="greaterThanOrEqual" showDropDown="false" showErrorMessage="true" showInputMessage="false" sqref="B20" type="decimal">
      <formula1>0</formula1>
      <formula2>0</formula2>
    </dataValidation>
  </dataValidations>
  <printOptions headings="false" gridLines="false" gridLinesSet="true" horizontalCentered="true" verticalCentered="false"/>
  <pageMargins left="0.25" right="0.25" top="0.45" bottom="0.45" header="0.179861111111111" footer="0.179861111111111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&amp;L&amp;8 Inputs&amp;C&amp;8 v1.0 · as of 2026-07&amp;R&amp;8 Page &amp;P of &amp;N</oddHeader>
    <oddFooter>&amp;L&amp;8 Project / owner: ____________________&amp;C&amp;8 Campus financial model&amp;R&amp;8 aidatacenterguide.com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5" topLeftCell="C6" activePane="bottomRight" state="frozen"/>
      <selection pane="topLeft" activeCell="A1" activeCellId="0" sqref="A1"/>
      <selection pane="topRight" activeCell="C1" activeCellId="0" sqref="C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2" min="2" style="0" width="30"/>
    <col collapsed="false" customWidth="true" hidden="false" outlineLevel="0" max="12" min="3" style="0" width="11"/>
  </cols>
  <sheetData>
    <row r="1" customFormat="false" ht="19.7" hidden="false" customHeight="false" outlineLevel="0" collapsed="false">
      <c r="A1" s="1" t="s">
        <v>69</v>
      </c>
    </row>
    <row r="2" customFormat="false" ht="15" hidden="false" customHeight="false" outlineLevel="0" collapsed="false">
      <c r="A2" s="2" t="s">
        <v>70</v>
      </c>
    </row>
    <row r="4" customFormat="false" ht="15" hidden="false" customHeight="false" outlineLevel="0" collapsed="false">
      <c r="B4" s="9" t="s">
        <v>71</v>
      </c>
      <c r="C4" s="3" t="s">
        <v>72</v>
      </c>
      <c r="D4" s="3" t="s">
        <v>73</v>
      </c>
      <c r="E4" s="3" t="s">
        <v>74</v>
      </c>
      <c r="F4" s="3" t="s">
        <v>75</v>
      </c>
      <c r="G4" s="3" t="s">
        <v>76</v>
      </c>
      <c r="H4" s="3" t="s">
        <v>77</v>
      </c>
      <c r="I4" s="3" t="s">
        <v>78</v>
      </c>
      <c r="J4" s="3" t="s">
        <v>79</v>
      </c>
      <c r="K4" s="3" t="s">
        <v>80</v>
      </c>
      <c r="L4" s="3" t="s">
        <v>81</v>
      </c>
    </row>
    <row r="5" customFormat="false" ht="15" hidden="false" customHeight="false" outlineLevel="0" collapsed="false">
      <c r="B5" s="9" t="s">
        <v>82</v>
      </c>
      <c r="C5" s="15"/>
      <c r="D5" s="15"/>
      <c r="E5" s="15"/>
      <c r="F5" s="15" t="n">
        <v>1</v>
      </c>
      <c r="G5" s="15" t="n">
        <v>2</v>
      </c>
      <c r="H5" s="15" t="n">
        <v>3</v>
      </c>
      <c r="I5" s="15" t="n">
        <v>4</v>
      </c>
      <c r="J5" s="15" t="n">
        <v>5</v>
      </c>
      <c r="K5" s="15" t="n">
        <v>6</v>
      </c>
      <c r="L5" s="15" t="n">
        <v>7</v>
      </c>
    </row>
    <row r="7" customFormat="false" ht="15" hidden="false" customHeight="false" outlineLevel="0" collapsed="false">
      <c r="B7" s="16" t="s">
        <v>83</v>
      </c>
      <c r="C7" s="14"/>
      <c r="D7" s="14"/>
      <c r="E7" s="14"/>
      <c r="F7" s="14" t="n">
        <f aca="false">Inputs!$B$11*IF(Inputs!$B$12&gt;=1,MIN(1,F$5/Inputs!$B$12),1)*(1+Inputs!$B$13/100)^(F$5-1)</f>
        <v>100</v>
      </c>
      <c r="G7" s="14" t="n">
        <f aca="false">Inputs!$B$11*IF(Inputs!$B$12&gt;=1,MIN(1,G$5/Inputs!$B$12),1)*(1+Inputs!$B$13/100)^(G$5-1)</f>
        <v>204</v>
      </c>
      <c r="H7" s="14" t="n">
        <f aca="false">Inputs!$B$11*IF(Inputs!$B$12&gt;=1,MIN(1,H$5/Inputs!$B$12),1)*(1+Inputs!$B$13/100)^(H$5-1)</f>
        <v>208.08</v>
      </c>
      <c r="I7" s="14" t="n">
        <f aca="false">Inputs!$B$11*IF(Inputs!$B$12&gt;=1,MIN(1,I$5/Inputs!$B$12),1)*(1+Inputs!$B$13/100)^(I$5-1)</f>
        <v>212.2416</v>
      </c>
      <c r="J7" s="14" t="n">
        <f aca="false">Inputs!$B$11*IF(Inputs!$B$12&gt;=1,MIN(1,J$5/Inputs!$B$12),1)*(1+Inputs!$B$13/100)^(J$5-1)</f>
        <v>216.486432</v>
      </c>
      <c r="K7" s="14" t="n">
        <f aca="false">Inputs!$B$11*IF(Inputs!$B$12&gt;=1,MIN(1,K$5/Inputs!$B$12),1)*(1+Inputs!$B$13/100)^(K$5-1)</f>
        <v>220.81616064</v>
      </c>
      <c r="L7" s="14" t="n">
        <f aca="false">Inputs!$B$11*IF(Inputs!$B$12&gt;=1,MIN(1,L$5/Inputs!$B$12),1)*(1+Inputs!$B$13/100)^(L$5-1)</f>
        <v>225.2324838528</v>
      </c>
    </row>
    <row r="8" customFormat="false" ht="15" hidden="false" customHeight="false" outlineLevel="0" collapsed="false">
      <c r="B8" s="16" t="s">
        <v>84</v>
      </c>
      <c r="C8" s="14"/>
      <c r="D8" s="14"/>
      <c r="E8" s="14"/>
      <c r="F8" s="14" t="n">
        <f aca="false">F7*(1-Inputs!$B$14/100)</f>
        <v>75</v>
      </c>
      <c r="G8" s="14" t="n">
        <f aca="false">G7*(1-Inputs!$B$14/100)</f>
        <v>153</v>
      </c>
      <c r="H8" s="14" t="n">
        <f aca="false">H7*(1-Inputs!$B$14/100)</f>
        <v>156.06</v>
      </c>
      <c r="I8" s="14" t="n">
        <f aca="false">I7*(1-Inputs!$B$14/100)</f>
        <v>159.1812</v>
      </c>
      <c r="J8" s="14" t="n">
        <f aca="false">J7*(1-Inputs!$B$14/100)</f>
        <v>162.364824</v>
      </c>
      <c r="K8" s="14" t="n">
        <f aca="false">K7*(1-Inputs!$B$14/100)</f>
        <v>165.61212048</v>
      </c>
      <c r="L8" s="14" t="n">
        <f aca="false">L7*(1-Inputs!$B$14/100)</f>
        <v>168.9243628896</v>
      </c>
    </row>
    <row r="9" customFormat="false" ht="15" hidden="false" customHeight="false" outlineLevel="0" collapsed="false">
      <c r="B9" s="16" t="s">
        <v>85</v>
      </c>
      <c r="C9" s="14"/>
      <c r="D9" s="14"/>
      <c r="E9" s="14"/>
      <c r="F9" s="14" t="n">
        <f aca="false">IF(F$5&lt;=Inputs!$B$16,Inputs!$B$5/Inputs!$B$16,0)</f>
        <v>100</v>
      </c>
      <c r="G9" s="14" t="n">
        <f aca="false">IF(G$5&lt;=Inputs!$B$16,Inputs!$B$5/Inputs!$B$16,0)</f>
        <v>100</v>
      </c>
      <c r="H9" s="14" t="n">
        <f aca="false">IF(H$5&lt;=Inputs!$B$16,Inputs!$B$5/Inputs!$B$16,0)</f>
        <v>100</v>
      </c>
      <c r="I9" s="14" t="n">
        <f aca="false">IF(I$5&lt;=Inputs!$B$16,Inputs!$B$5/Inputs!$B$16,0)</f>
        <v>100</v>
      </c>
      <c r="J9" s="14" t="n">
        <f aca="false">IF(J$5&lt;=Inputs!$B$16,Inputs!$B$5/Inputs!$B$16,0)</f>
        <v>100</v>
      </c>
      <c r="K9" s="14" t="n">
        <f aca="false">IF(K$5&lt;=Inputs!$B$16,Inputs!$B$5/Inputs!$B$16,0)</f>
        <v>100</v>
      </c>
      <c r="L9" s="14" t="n">
        <f aca="false">IF(L$5&lt;=Inputs!$B$16,Inputs!$B$5/Inputs!$B$16,0)</f>
        <v>100</v>
      </c>
    </row>
    <row r="10" customFormat="false" ht="15" hidden="false" customHeight="false" outlineLevel="0" collapsed="false">
      <c r="B10" s="16" t="s">
        <v>86</v>
      </c>
      <c r="C10" s="14"/>
      <c r="D10" s="14"/>
      <c r="E10" s="14"/>
      <c r="F10" s="14" t="n">
        <f aca="false">Inputs!$B$25</f>
        <v>642</v>
      </c>
      <c r="G10" s="14" t="n">
        <f aca="false">F14</f>
        <v>595.533643249032</v>
      </c>
      <c r="H10" s="14" t="n">
        <f aca="false">G14</f>
        <v>545.814641525496</v>
      </c>
      <c r="I10" s="14" t="n">
        <f aca="false">H14</f>
        <v>492.615309681313</v>
      </c>
      <c r="J10" s="14" t="n">
        <f aca="false">I14</f>
        <v>435.692024608036</v>
      </c>
      <c r="K10" s="14" t="n">
        <f aca="false">J14</f>
        <v>374.784109579631</v>
      </c>
      <c r="L10" s="14" t="n">
        <f aca="false">K14</f>
        <v>309.612640499237</v>
      </c>
    </row>
    <row r="11" customFormat="false" ht="15" hidden="false" customHeight="false" outlineLevel="0" collapsed="false">
      <c r="B11" s="16" t="s">
        <v>87</v>
      </c>
      <c r="C11" s="14"/>
      <c r="D11" s="14"/>
      <c r="E11" s="14"/>
      <c r="F11" s="14" t="n">
        <f aca="false">IF(F$5&lt;=Inputs!$B$9,F10*Inputs!$B$8/100,0)</f>
        <v>44.94</v>
      </c>
      <c r="G11" s="14" t="n">
        <f aca="false">IF(G$5&lt;=Inputs!$B$9,G10*Inputs!$B$8/100,0)</f>
        <v>41.6873550274322</v>
      </c>
      <c r="H11" s="14" t="n">
        <f aca="false">IF(H$5&lt;=Inputs!$B$9,H10*Inputs!$B$8/100,0)</f>
        <v>38.2070249067847</v>
      </c>
      <c r="I11" s="14" t="n">
        <f aca="false">IF(I$5&lt;=Inputs!$B$9,I10*Inputs!$B$8/100,0)</f>
        <v>34.4830716776919</v>
      </c>
      <c r="J11" s="14" t="n">
        <f aca="false">IF(J$5&lt;=Inputs!$B$9,J10*Inputs!$B$8/100,0)</f>
        <v>30.4984417225625</v>
      </c>
      <c r="K11" s="14" t="n">
        <f aca="false">IF(K$5&lt;=Inputs!$B$9,K10*Inputs!$B$8/100,0)</f>
        <v>26.2348876705742</v>
      </c>
      <c r="L11" s="14" t="n">
        <f aca="false">IF(L$5&lt;=Inputs!$B$9,L10*Inputs!$B$8/100,0)</f>
        <v>21.6728848349466</v>
      </c>
    </row>
    <row r="12" customFormat="false" ht="15" hidden="false" customHeight="false" outlineLevel="0" collapsed="false">
      <c r="B12" s="16" t="s">
        <v>88</v>
      </c>
      <c r="C12" s="14"/>
      <c r="D12" s="14"/>
      <c r="E12" s="14"/>
      <c r="F12" s="14" t="n">
        <f aca="false">IF(F$5&lt;=Inputs!$B$9,Inputs!$B$27,0)</f>
        <v>91.4063567509681</v>
      </c>
      <c r="G12" s="14" t="n">
        <f aca="false">IF(G$5&lt;=Inputs!$B$9,Inputs!$B$27,0)</f>
        <v>91.4063567509681</v>
      </c>
      <c r="H12" s="14" t="n">
        <f aca="false">IF(H$5&lt;=Inputs!$B$9,Inputs!$B$27,0)</f>
        <v>91.4063567509681</v>
      </c>
      <c r="I12" s="14" t="n">
        <f aca="false">IF(I$5&lt;=Inputs!$B$9,Inputs!$B$27,0)</f>
        <v>91.4063567509681</v>
      </c>
      <c r="J12" s="14" t="n">
        <f aca="false">IF(J$5&lt;=Inputs!$B$9,Inputs!$B$27,0)</f>
        <v>91.4063567509681</v>
      </c>
      <c r="K12" s="14" t="n">
        <f aca="false">IF(K$5&lt;=Inputs!$B$9,Inputs!$B$27,0)</f>
        <v>91.4063567509681</v>
      </c>
      <c r="L12" s="14" t="n">
        <f aca="false">IF(L$5&lt;=Inputs!$B$9,Inputs!$B$27,0)</f>
        <v>91.4063567509681</v>
      </c>
    </row>
    <row r="13" customFormat="false" ht="15" hidden="false" customHeight="false" outlineLevel="0" collapsed="false">
      <c r="B13" s="16" t="s">
        <v>89</v>
      </c>
      <c r="C13" s="14"/>
      <c r="D13" s="14"/>
      <c r="E13" s="14"/>
      <c r="F13" s="14" t="n">
        <f aca="false">MIN(F10,F12-F11)</f>
        <v>46.4663567509681</v>
      </c>
      <c r="G13" s="14" t="n">
        <f aca="false">MIN(G10,G12-G11)</f>
        <v>49.7190017235359</v>
      </c>
      <c r="H13" s="14" t="n">
        <f aca="false">MIN(H10,H12-H11)</f>
        <v>53.1993318441834</v>
      </c>
      <c r="I13" s="14" t="n">
        <f aca="false">MIN(I10,I12-I11)</f>
        <v>56.9232850732763</v>
      </c>
      <c r="J13" s="14" t="n">
        <f aca="false">MIN(J10,J12-J11)</f>
        <v>60.9079150284056</v>
      </c>
      <c r="K13" s="14" t="n">
        <f aca="false">MIN(K10,K12-K11)</f>
        <v>65.171469080394</v>
      </c>
      <c r="L13" s="14" t="n">
        <f aca="false">MIN(L10,L12-L11)</f>
        <v>69.7334719160216</v>
      </c>
    </row>
    <row r="14" customFormat="false" ht="15" hidden="false" customHeight="false" outlineLevel="0" collapsed="false">
      <c r="B14" s="16" t="s">
        <v>90</v>
      </c>
      <c r="C14" s="14"/>
      <c r="D14" s="14"/>
      <c r="E14" s="14"/>
      <c r="F14" s="14" t="n">
        <f aca="false">F10-F13</f>
        <v>595.533643249032</v>
      </c>
      <c r="G14" s="14" t="n">
        <f aca="false">G10-G13</f>
        <v>545.814641525496</v>
      </c>
      <c r="H14" s="14" t="n">
        <f aca="false">H10-H13</f>
        <v>492.615309681313</v>
      </c>
      <c r="I14" s="14" t="n">
        <f aca="false">I10-I13</f>
        <v>435.692024608036</v>
      </c>
      <c r="J14" s="14" t="n">
        <f aca="false">J10-J13</f>
        <v>374.784109579631</v>
      </c>
      <c r="K14" s="14" t="n">
        <f aca="false">K10-K13</f>
        <v>309.612640499237</v>
      </c>
      <c r="L14" s="14" t="n">
        <f aca="false">L10-L13</f>
        <v>239.879168583215</v>
      </c>
    </row>
    <row r="15" customFormat="false" ht="15" hidden="false" customHeight="false" outlineLevel="0" collapsed="false">
      <c r="B15" s="16" t="s">
        <v>91</v>
      </c>
      <c r="C15" s="14"/>
      <c r="D15" s="14"/>
      <c r="E15" s="14"/>
      <c r="F15" s="14" t="n">
        <f aca="false">F8-F9-F11</f>
        <v>-69.94</v>
      </c>
      <c r="G15" s="14" t="n">
        <f aca="false">G8-G9-G11</f>
        <v>11.3126449725678</v>
      </c>
      <c r="H15" s="14" t="n">
        <f aca="false">H8-H9-H11</f>
        <v>17.8529750932153</v>
      </c>
      <c r="I15" s="14" t="n">
        <f aca="false">I8-I9-I11</f>
        <v>24.6981283223081</v>
      </c>
      <c r="J15" s="14" t="n">
        <f aca="false">J8-J9-J11</f>
        <v>31.8663822774375</v>
      </c>
      <c r="K15" s="14" t="n">
        <f aca="false">K8-K9-K11</f>
        <v>39.3772328094258</v>
      </c>
      <c r="L15" s="14" t="n">
        <f aca="false">L8-L9-L11</f>
        <v>47.2514780546535</v>
      </c>
    </row>
    <row r="16" customFormat="false" ht="15" hidden="false" customHeight="false" outlineLevel="0" collapsed="false">
      <c r="B16" s="16" t="s">
        <v>92</v>
      </c>
      <c r="C16" s="14"/>
      <c r="D16" s="14"/>
      <c r="E16" s="14"/>
      <c r="F16" s="14" t="n">
        <f aca="false">MAX(0,F15)*Inputs!$B$15/100</f>
        <v>0</v>
      </c>
      <c r="G16" s="14" t="n">
        <f aca="false">MAX(0,G15)*Inputs!$B$15/100</f>
        <v>2.37565544423923</v>
      </c>
      <c r="H16" s="14" t="n">
        <f aca="false">MAX(0,H15)*Inputs!$B$15/100</f>
        <v>3.74912476957521</v>
      </c>
      <c r="I16" s="14" t="n">
        <f aca="false">MAX(0,I15)*Inputs!$B$15/100</f>
        <v>5.18660694768471</v>
      </c>
      <c r="J16" s="14" t="n">
        <f aca="false">MAX(0,J15)*Inputs!$B$15/100</f>
        <v>6.69194027826187</v>
      </c>
      <c r="K16" s="14" t="n">
        <f aca="false">MAX(0,K15)*Inputs!$B$15/100</f>
        <v>8.26921888997942</v>
      </c>
      <c r="L16" s="14" t="n">
        <f aca="false">MAX(0,L15)*Inputs!$B$15/100</f>
        <v>9.92281039147722</v>
      </c>
    </row>
    <row r="17" customFormat="false" ht="15" hidden="false" customHeight="false" outlineLevel="0" collapsed="false">
      <c r="B17" s="16" t="s">
        <v>54</v>
      </c>
      <c r="C17" s="14"/>
      <c r="D17" s="14"/>
      <c r="E17" s="14"/>
      <c r="F17" s="14" t="n">
        <f aca="false">F7*Inputs!$B$17/100</f>
        <v>3</v>
      </c>
      <c r="G17" s="14" t="n">
        <f aca="false">G7*Inputs!$B$17/100</f>
        <v>6.12</v>
      </c>
      <c r="H17" s="14" t="n">
        <f aca="false">H7*Inputs!$B$17/100</f>
        <v>6.2424</v>
      </c>
      <c r="I17" s="14" t="n">
        <f aca="false">I7*Inputs!$B$17/100</f>
        <v>6.367248</v>
      </c>
      <c r="J17" s="14" t="n">
        <f aca="false">J7*Inputs!$B$17/100</f>
        <v>6.49459296</v>
      </c>
      <c r="K17" s="14" t="n">
        <f aca="false">K7*Inputs!$B$17/100</f>
        <v>6.6244848192</v>
      </c>
      <c r="L17" s="14" t="n">
        <f aca="false">L7*Inputs!$B$17/100</f>
        <v>6.756974515584</v>
      </c>
    </row>
    <row r="18" customFormat="false" ht="15" hidden="false" customHeight="false" outlineLevel="0" collapsed="false">
      <c r="B18" s="3" t="s">
        <v>93</v>
      </c>
      <c r="C18" s="14"/>
      <c r="D18" s="14"/>
      <c r="E18" s="14"/>
      <c r="F18" s="14" t="n">
        <f aca="false">F8-F16-F17</f>
        <v>72</v>
      </c>
      <c r="G18" s="14" t="n">
        <f aca="false">G8-G16-G17</f>
        <v>144.504344555761</v>
      </c>
      <c r="H18" s="14" t="n">
        <f aca="false">H8-H16-H17</f>
        <v>146.068475230425</v>
      </c>
      <c r="I18" s="14" t="n">
        <f aca="false">I8-I16-I17</f>
        <v>147.627345052315</v>
      </c>
      <c r="J18" s="14" t="n">
        <f aca="false">J8-J16-J17</f>
        <v>149.178290761738</v>
      </c>
      <c r="K18" s="14" t="n">
        <f aca="false">K8-K16-K17</f>
        <v>150.718416770821</v>
      </c>
      <c r="L18" s="14" t="n">
        <f aca="false">L8-L16-L17</f>
        <v>152.244577982539</v>
      </c>
    </row>
    <row r="19" customFormat="false" ht="15" hidden="false" customHeight="false" outlineLevel="0" collapsed="false">
      <c r="B19" s="16" t="s">
        <v>94</v>
      </c>
      <c r="C19" s="17"/>
      <c r="D19" s="17"/>
      <c r="E19" s="17"/>
      <c r="F19" s="17" t="n">
        <f aca="false">IF(F12&gt;0,F18/F12,"")</f>
        <v>0.787691387768142</v>
      </c>
      <c r="G19" s="17" t="n">
        <f aca="false">IF(G12&gt;0,G18/G12,"")</f>
        <v>1.58090038474518</v>
      </c>
      <c r="H19" s="17" t="n">
        <f aca="false">IF(H12&gt;0,H18/H12,"")</f>
        <v>1.5980122217143</v>
      </c>
      <c r="I19" s="17" t="n">
        <f aca="false">IF(I12&gt;0,I18/I12,"")</f>
        <v>1.61506650412201</v>
      </c>
      <c r="J19" s="17" t="n">
        <f aca="false">IF(J12&gt;0,J18/J12,"")</f>
        <v>1.63203409548601</v>
      </c>
      <c r="K19" s="17" t="n">
        <f aca="false">IF(K12&gt;0,K18/K12,"")</f>
        <v>1.64888331761701</v>
      </c>
      <c r="L19" s="17" t="n">
        <f aca="false">IF(L12&gt;0,L18/L12,"")</f>
        <v>1.66557976265613</v>
      </c>
    </row>
    <row r="20" customFormat="false" ht="15" hidden="false" customHeight="false" outlineLevel="0" collapsed="false">
      <c r="B20" s="16" t="s">
        <v>95</v>
      </c>
      <c r="C20" s="14"/>
      <c r="D20" s="14"/>
      <c r="E20" s="14"/>
      <c r="F20" s="14"/>
      <c r="G20" s="14"/>
      <c r="H20" s="14"/>
      <c r="I20" s="14"/>
      <c r="J20" s="14"/>
      <c r="K20" s="14"/>
      <c r="L20" s="14" t="n">
        <f aca="false">L8*Inputs!$B$19</f>
        <v>2027.0923546752</v>
      </c>
    </row>
    <row r="21" customFormat="false" ht="15" hidden="false" customHeight="false" outlineLevel="0" collapsed="false">
      <c r="B21" s="3" t="s">
        <v>96</v>
      </c>
      <c r="C21" s="14" t="n">
        <f aca="false">-Inputs!$B$28</f>
        <v>-45.7031783754841</v>
      </c>
      <c r="D21" s="14" t="n">
        <f aca="false">-Inputs!$B$26/Inputs!$B$6</f>
        <v>-200</v>
      </c>
      <c r="E21" s="14" t="n">
        <f aca="false">-Inputs!$B$26/Inputs!$B$6</f>
        <v>-200</v>
      </c>
      <c r="F21" s="14" t="n">
        <f aca="false">F18-F12</f>
        <v>-19.4063567509681</v>
      </c>
      <c r="G21" s="14" t="n">
        <f aca="false">G18-G12</f>
        <v>53.0979878047926</v>
      </c>
      <c r="H21" s="14" t="n">
        <f aca="false">H18-H12</f>
        <v>54.6621184794566</v>
      </c>
      <c r="I21" s="14" t="n">
        <f aca="false">I18-I12</f>
        <v>56.2209883013472</v>
      </c>
      <c r="J21" s="14" t="n">
        <f aca="false">J18-J12</f>
        <v>57.77193401077</v>
      </c>
      <c r="K21" s="14" t="n">
        <f aca="false">K18-K12</f>
        <v>59.3120600198524</v>
      </c>
      <c r="L21" s="14" t="n">
        <f aca="false">L18-L12+L20-L14+Inputs!$B$28</f>
        <v>1893.75458569904</v>
      </c>
    </row>
    <row r="22" customFormat="false" ht="15" hidden="false" customHeight="false" outlineLevel="0" collapsed="false">
      <c r="B22" s="3" t="s">
        <v>97</v>
      </c>
      <c r="C22" s="14" t="n">
        <v>0</v>
      </c>
      <c r="D22" s="14" t="n">
        <f aca="false">-Inputs!$B$5/Inputs!$B$6</f>
        <v>-500</v>
      </c>
      <c r="E22" s="14" t="n">
        <f aca="false">-Inputs!$B$5/Inputs!$B$6</f>
        <v>-500</v>
      </c>
      <c r="F22" s="14" t="n">
        <f aca="false">F8-MAX(0,F8-F9)*Inputs!$B$15/100-F17</f>
        <v>72</v>
      </c>
      <c r="G22" s="14" t="n">
        <f aca="false">G8-MAX(0,G8-G9)*Inputs!$B$15/100-G17</f>
        <v>135.75</v>
      </c>
      <c r="H22" s="14" t="n">
        <f aca="false">H8-MAX(0,H8-H9)*Inputs!$B$15/100-H17</f>
        <v>138.045</v>
      </c>
      <c r="I22" s="14" t="n">
        <f aca="false">I8-MAX(0,I8-I9)*Inputs!$B$15/100-I17</f>
        <v>140.3859</v>
      </c>
      <c r="J22" s="14" t="n">
        <f aca="false">J8-MAX(0,J8-J9)*Inputs!$B$15/100-J17</f>
        <v>142.773618</v>
      </c>
      <c r="K22" s="14" t="n">
        <f aca="false">K8-MAX(0,K8-K9)*Inputs!$B$15/100-K17</f>
        <v>145.20909036</v>
      </c>
      <c r="L22" s="14" t="n">
        <f aca="false">L8-MAX(0,L8-L9)*Inputs!$B$15/100-L17+L20</f>
        <v>2174.7856268424</v>
      </c>
    </row>
  </sheetData>
  <printOptions headings="false" gridLines="false" gridLinesSet="true" horizontalCentered="true" verticalCentered="false"/>
  <pageMargins left="0.25" right="0.25" top="0.45" bottom="0.45" header="0.179861111111111" footer="0.179861111111111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&amp;L&amp;8 Pro-forma&amp;C&amp;8 v1.0 · as of 2026-07&amp;R&amp;8 Page &amp;P of &amp;N</oddHeader>
    <oddFooter>&amp;L&amp;8 Project / owner: ____________________&amp;C&amp;8 Campus financial model&amp;R&amp;8 aidatacenterguide.com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22"/>
    <col collapsed="false" customWidth="true" hidden="false" outlineLevel="0" max="3" min="3" style="0" width="30"/>
    <col collapsed="false" customWidth="true" hidden="false" outlineLevel="0" max="4" min="4" style="0" width="52"/>
  </cols>
  <sheetData>
    <row r="1" customFormat="false" ht="19.7" hidden="false" customHeight="false" outlineLevel="0" collapsed="false">
      <c r="A1" s="1" t="s">
        <v>98</v>
      </c>
    </row>
    <row r="2" customFormat="false" ht="15" hidden="false" customHeight="false" outlineLevel="0" collapsed="false">
      <c r="A2" s="2" t="s">
        <v>99</v>
      </c>
    </row>
    <row r="4" customFormat="false" ht="15" hidden="false" customHeight="false" outlineLevel="0" collapsed="false">
      <c r="A4" s="8" t="s">
        <v>100</v>
      </c>
      <c r="B4" s="8" t="s">
        <v>101</v>
      </c>
      <c r="C4" s="8" t="s">
        <v>102</v>
      </c>
      <c r="D4" s="8" t="s">
        <v>103</v>
      </c>
    </row>
    <row r="5" customFormat="false" ht="27.75" hidden="false" customHeight="true" outlineLevel="0" collapsed="false">
      <c r="A5" s="18" t="s">
        <v>104</v>
      </c>
      <c r="B5" s="19" t="n">
        <f aca="false">IF(COUNTIF('Pro-forma'!C21:L21,"&lt;0")=0,"n/a — no equity outflow",IF(COUNTIF('Pro-forma'!C21:L21,"&gt;0")=0,"n/a — no positive equity return",IFERROR(IRR('Pro-forma'!C21:L21),"n/a — no valid equity IRR")))</f>
        <v>0.243059369648282</v>
      </c>
      <c r="C5" s="19" t="n">
        <v>0.243059</v>
      </c>
      <c r="D5" s="4" t="s">
        <v>105</v>
      </c>
    </row>
    <row r="6" customFormat="false" ht="15" hidden="false" customHeight="false" outlineLevel="0" collapsed="false">
      <c r="A6" s="9" t="s">
        <v>106</v>
      </c>
      <c r="B6" s="20" t="n">
        <f aca="false">IRR('Pro-forma'!C22:L22)</f>
        <v>0.184187999958156</v>
      </c>
      <c r="C6" s="20" t="n">
        <v>0.184188</v>
      </c>
      <c r="D6" s="9"/>
    </row>
    <row r="7" customFormat="false" ht="27.75" hidden="false" customHeight="true" outlineLevel="0" collapsed="false">
      <c r="A7" s="18" t="s">
        <v>107</v>
      </c>
      <c r="B7" s="21" t="n">
        <f aca="false">IF(COUNT('Pro-forma'!F19:L19)=0,"n/a (no debt)",MIN('Pro-forma'!F19:L19))</f>
        <v>0.787691387768142</v>
      </c>
      <c r="C7" s="21" t="n">
        <v>0.787691</v>
      </c>
      <c r="D7" s="4" t="s">
        <v>108</v>
      </c>
    </row>
    <row r="8" customFormat="false" ht="15" hidden="false" customHeight="false" outlineLevel="0" collapsed="false">
      <c r="A8" s="9" t="s">
        <v>109</v>
      </c>
      <c r="B8" s="17" t="n">
        <f aca="false">IF(COUNT('Pro-forma'!F19:L19)=0,"n/a (no debt)",AVERAGE('Pro-forma'!F19:L19))</f>
        <v>1.50402395344411</v>
      </c>
      <c r="C8" s="17" t="n">
        <v>1.504024</v>
      </c>
      <c r="D8" s="9"/>
    </row>
    <row r="9" customFormat="false" ht="27.75" hidden="false" customHeight="true" outlineLevel="0" collapsed="false">
      <c r="A9" s="18" t="s">
        <v>110</v>
      </c>
      <c r="B9" s="22" t="n">
        <f aca="false">'Pro-forma'!C22+NPV(Inputs!B20/100,'Pro-forma'!D22:L22)</f>
        <v>507.332370215162</v>
      </c>
      <c r="C9" s="22" t="n">
        <v>507.33237</v>
      </c>
      <c r="D9" s="4" t="s">
        <v>111</v>
      </c>
    </row>
    <row r="10" customFormat="false" ht="27.75" hidden="false" customHeight="true" outlineLevel="0" collapsed="false">
      <c r="A10" s="18" t="s">
        <v>112</v>
      </c>
      <c r="B10" s="22" t="n">
        <f aca="false">'Pro-forma'!C21+NPV(Inputs!B20/100,'Pro-forma'!D21:L21)</f>
        <v>555.004358073495</v>
      </c>
      <c r="C10" s="22" t="n">
        <v>555.004358</v>
      </c>
      <c r="D10" s="4" t="s">
        <v>113</v>
      </c>
    </row>
    <row r="11" customFormat="false" ht="27.75" hidden="false" customHeight="true" outlineLevel="0" collapsed="false">
      <c r="A11" s="18" t="s">
        <v>114</v>
      </c>
      <c r="B11" s="18" t="str">
        <f aca="false">IF(COUNTIF('Pro-forma'!C21:L21,"&lt;0")=0,"n/a — no equity outflow",IF(COUNTIF('Pro-forma'!C21:L21,"&gt;0")=0,"n/a — no positive equity return",IF(SUMPRODUCT(--(SIGN('Pro-forma'!D21:L21)&lt;&gt;SIGN('Pro-forma'!C21:K21)),--(SIGN('Pro-forma'!D21:L21)&lt;&gt;0),--(SIGN('Pro-forma'!C21:K21)&lt;&gt;0))&gt;1,"AMBIGUOUS — use equity NPV","ok")))</f>
        <v>ok</v>
      </c>
      <c r="C11" s="18" t="s">
        <v>115</v>
      </c>
      <c r="D11" s="4" t="s">
        <v>116</v>
      </c>
    </row>
    <row r="12" customFormat="false" ht="27.75" hidden="false" customHeight="true" outlineLevel="0" collapsed="false">
      <c r="A12" s="18" t="s">
        <v>117</v>
      </c>
      <c r="B12" s="21" t="n">
        <f aca="false">IF(COUNTIF('Pro-forma'!C21:L21,"&lt;0")=0,"n/a — no equity outflow",IF(COUNTIF('Pro-forma'!C21:L21,"&gt;0")=0,"n/a — no positive equity return",SUMIF('Pro-forma'!C21:L21,"&gt;0")/-SUMIF('Pro-forma'!C21:L21,"&lt;0")))</f>
        <v>4.67593009832399</v>
      </c>
      <c r="C12" s="21" t="n">
        <v>4.67593</v>
      </c>
      <c r="D12" s="4" t="s">
        <v>118</v>
      </c>
    </row>
    <row r="13" customFormat="false" ht="15" hidden="false" customHeight="false" outlineLevel="0" collapsed="false">
      <c r="A13" s="9" t="s">
        <v>119</v>
      </c>
      <c r="B13" s="14" t="n">
        <f aca="false">Inputs!B24</f>
        <v>42</v>
      </c>
      <c r="C13" s="14" t="n">
        <v>42</v>
      </c>
      <c r="D13" s="9"/>
    </row>
    <row r="14" customFormat="false" ht="15" hidden="false" customHeight="false" outlineLevel="0" collapsed="false">
      <c r="A14" s="9" t="s">
        <v>120</v>
      </c>
      <c r="B14" s="14" t="n">
        <f aca="false">Inputs!B25</f>
        <v>642</v>
      </c>
      <c r="C14" s="14" t="n">
        <v>642</v>
      </c>
      <c r="D14" s="9"/>
    </row>
    <row r="15" customFormat="false" ht="15" hidden="false" customHeight="false" outlineLevel="0" collapsed="false">
      <c r="A15" s="9" t="s">
        <v>121</v>
      </c>
      <c r="B15" s="14" t="n">
        <f aca="false">Inputs!B27</f>
        <v>91.4063567509681</v>
      </c>
      <c r="C15" s="14" t="n">
        <v>91.406357</v>
      </c>
      <c r="D15" s="9"/>
    </row>
    <row r="16" customFormat="false" ht="15" hidden="false" customHeight="false" outlineLevel="0" collapsed="false">
      <c r="A16" s="9" t="s">
        <v>122</v>
      </c>
      <c r="B16" s="14" t="n">
        <f aca="false">Inputs!B28</f>
        <v>45.7031783754841</v>
      </c>
      <c r="C16" s="14" t="n">
        <v>45.703178</v>
      </c>
      <c r="D16" s="9"/>
    </row>
    <row r="18" customFormat="false" ht="27.75" hidden="false" customHeight="true" outlineLevel="0" collapsed="false">
      <c r="A18" s="23" t="s">
        <v>123</v>
      </c>
      <c r="B18" s="23"/>
      <c r="C18" s="23"/>
      <c r="D18" s="23"/>
    </row>
  </sheetData>
  <mergeCells count="1">
    <mergeCell ref="A18:D18"/>
  </mergeCells>
  <printOptions headings="false" gridLines="false" gridLinesSet="true" horizontalCentered="true" verticalCentered="false"/>
  <pageMargins left="0.25" right="0.25" top="0.45" bottom="0.45" header="0.179861111111111" footer="0.179861111111111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&amp;L&amp;8 Outputs&amp;C&amp;8 v1.0 · as of 2026-07&amp;R&amp;8 Page &amp;P of &amp;N</oddHeader>
    <oddFooter>&amp;L&amp;8 Project / owner: ____________________&amp;C&amp;8 Campus financial model&amp;R&amp;8 aidatacenterguide.com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LibreOffice/26.2.4.2$MacOSX_AARCH64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2026-08-24T01:06:56Z</dcterms:created>
  <dc:creator>openpyxl</dc:creator>
  <dc:description/>
  <dc:language>en-US</dc:language>
  <cp:lastModifiedBy/>
  <dcterms:modified xsi:type="dcterms:W3CDTF">2026-08-24T01:06:56Z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